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'Лист1'!$A$1:$H$110</definedName>
  </definedNames>
  <calcPr fullCalcOnLoad="1"/>
</workbook>
</file>

<file path=xl/sharedStrings.xml><?xml version="1.0" encoding="utf-8"?>
<sst xmlns="http://schemas.openxmlformats.org/spreadsheetml/2006/main" count="147" uniqueCount="146">
  <si>
    <t>Калькуляционные  статьи  затрат</t>
  </si>
  <si>
    <t xml:space="preserve">Факт. 2011 г. </t>
  </si>
  <si>
    <t>Теплоэнергия</t>
  </si>
  <si>
    <t>в том числе:</t>
  </si>
  <si>
    <t>Вода</t>
  </si>
  <si>
    <t>Пар</t>
  </si>
  <si>
    <t>Производство тепловой энергии, Гкал</t>
  </si>
  <si>
    <t>- собственные нужды котельной, Гкал</t>
  </si>
  <si>
    <t>- отпуск тепловой энергии, Гкал</t>
  </si>
  <si>
    <t>- потери тепловой энергии, Гкал</t>
  </si>
  <si>
    <t>- потери тепловой энергии на передачу по внутризаводским сетям, Гкал</t>
  </si>
  <si>
    <t>- потери теплоэнергии на передачу по сетям энергоснабжающей  организации, Гкал</t>
  </si>
  <si>
    <t>- потери и собственные нужды в % к выработке</t>
  </si>
  <si>
    <t>Полезный отпуск, Гкал</t>
  </si>
  <si>
    <t>в т.ч. продажа на сторону</t>
  </si>
  <si>
    <t>население, Гкал</t>
  </si>
  <si>
    <t>бюджетные потребители, Гкал</t>
  </si>
  <si>
    <t>прочие потребители, Гкал</t>
  </si>
  <si>
    <t>организации перепродавцы,Гкал</t>
  </si>
  <si>
    <t>1.</t>
  </si>
  <si>
    <t>Топливо на технологические цели, тыс. руб.</t>
  </si>
  <si>
    <t>Объем топлива - газ, тыс. куб. м</t>
  </si>
  <si>
    <t>газ, тут</t>
  </si>
  <si>
    <t>Цена газа - руб. за 1000 куб. М</t>
  </si>
  <si>
    <t>Объем мазута, тонн</t>
  </si>
  <si>
    <t>мазут, тут</t>
  </si>
  <si>
    <t>Цена мазута – руб. за тонну</t>
  </si>
  <si>
    <t>Условное топливо всего, т.у.т.</t>
  </si>
  <si>
    <t>в т.ч. в расчете на 1 Гкал, кг.у.т.</t>
  </si>
  <si>
    <t>2.</t>
  </si>
  <si>
    <t>Вода на технологические цели, тыс. руб.</t>
  </si>
  <si>
    <t>2.1.</t>
  </si>
  <si>
    <t>в т.ч. холодная вода, тыс. руб.</t>
  </si>
  <si>
    <t>тыс. куб. м  всего</t>
  </si>
  <si>
    <t xml:space="preserve">цена за 1 куб. м, руб.                                         </t>
  </si>
  <si>
    <t>2.2.</t>
  </si>
  <si>
    <t>Вспомогательные материалы для нужд ХВО, тыс. руб.:</t>
  </si>
  <si>
    <t>Cоль техническая , тыс.руб.</t>
  </si>
  <si>
    <r>
      <t xml:space="preserve">Количество тонн </t>
    </r>
    <r>
      <rPr>
        <sz val="8"/>
        <rFont val="Times New Roman"/>
        <family val="1"/>
      </rPr>
      <t>соль техническая</t>
    </r>
  </si>
  <si>
    <r>
      <t>цена за 1 т., руб.</t>
    </r>
    <r>
      <rPr>
        <sz val="8"/>
        <rFont val="Times New Roman"/>
        <family val="1"/>
      </rPr>
      <t>соль техническая</t>
    </r>
  </si>
  <si>
    <t>Cоль таблетированная , тыс.руб.</t>
  </si>
  <si>
    <r>
      <t xml:space="preserve">Количество тонн </t>
    </r>
    <r>
      <rPr>
        <sz val="8"/>
        <rFont val="Times New Roman"/>
        <family val="1"/>
      </rPr>
      <t>соль таблетированная</t>
    </r>
  </si>
  <si>
    <r>
      <t>цена за 1 т., руб.</t>
    </r>
    <r>
      <rPr>
        <sz val="8"/>
        <rFont val="Times New Roman"/>
        <family val="1"/>
      </rPr>
      <t>соль таблетированная</t>
    </r>
  </si>
  <si>
    <t>смола, тыс. руб. (катионит)</t>
  </si>
  <si>
    <t>смола, т (катионит)</t>
  </si>
  <si>
    <t>цена за 1 т., руб.</t>
  </si>
  <si>
    <t>прочие материалы, тыс. руб.</t>
  </si>
  <si>
    <t>2.3.</t>
  </si>
  <si>
    <t>Стоки, тыс. руб.</t>
  </si>
  <si>
    <t>cтоки, тыс. руб.</t>
  </si>
  <si>
    <t>стоки, тыс. куб. М</t>
  </si>
  <si>
    <t xml:space="preserve">цена за 1 куб. М                                      </t>
  </si>
  <si>
    <t>очистка, тыс. руб.</t>
  </si>
  <si>
    <t>очистка, тыс. куб. м</t>
  </si>
  <si>
    <t xml:space="preserve">цена за 1 куб. М                                     </t>
  </si>
  <si>
    <t>3.</t>
  </si>
  <si>
    <t>Электроэнергия на технологические нужды, тыс. руб.</t>
  </si>
  <si>
    <t>тыс. кВт.ч., всего</t>
  </si>
  <si>
    <t>в т.ч. в расчете на 1 Гкал, квт.ч.</t>
  </si>
  <si>
    <t>цена за 1 кВт.ч., руб.</t>
  </si>
  <si>
    <t>4.</t>
  </si>
  <si>
    <t>Фонд  оплаты труда, тыс. руб.</t>
  </si>
  <si>
    <t>Нормативная численность, чел.</t>
  </si>
  <si>
    <t>Среднемесячная заработная плата, руб.</t>
  </si>
  <si>
    <t>ЕСН, %</t>
  </si>
  <si>
    <t>5.</t>
  </si>
  <si>
    <t>ЕСН с фонда оплаты труда , тыс. руб.</t>
  </si>
  <si>
    <t>6.</t>
  </si>
  <si>
    <t>Расходы по содерж. и эксплуат. оборудов., тыс. руб., в т.ч.:</t>
  </si>
  <si>
    <t>6.1.</t>
  </si>
  <si>
    <t>амортизация производственного оборудования</t>
  </si>
  <si>
    <t>6.2.</t>
  </si>
  <si>
    <t>ремонтные работы, из них :</t>
  </si>
  <si>
    <t>6.2.1.</t>
  </si>
  <si>
    <t>капитального характера (хоз. способом)</t>
  </si>
  <si>
    <t>6.2.2.</t>
  </si>
  <si>
    <t>кап. ремонт (подряд)</t>
  </si>
  <si>
    <t>6.2.3.</t>
  </si>
  <si>
    <t>текущего характера</t>
  </si>
  <si>
    <t>6.2.4.</t>
  </si>
  <si>
    <t>капитального характера (хоз. способом), перенесенный  с 2012года  согласно ДЦТ</t>
  </si>
  <si>
    <t>6.3.</t>
  </si>
  <si>
    <t>Сжатый воздух тыс.руб.</t>
  </si>
  <si>
    <t>6.4.</t>
  </si>
  <si>
    <t>Транспортные расходы тыс.руб.</t>
  </si>
  <si>
    <t>6.5.</t>
  </si>
  <si>
    <t>Договора со сторонними организациями тыс.руб.</t>
  </si>
  <si>
    <t>6.6.</t>
  </si>
  <si>
    <t>Договора на  проведение  экспертизы  нормативов тыс.руб.</t>
  </si>
  <si>
    <t>7.</t>
  </si>
  <si>
    <t>Цеховые расходы, тыс. руб.:</t>
  </si>
  <si>
    <t>7.1.</t>
  </si>
  <si>
    <t>амортизация  зданий и сооружений</t>
  </si>
  <si>
    <t>7.2.</t>
  </si>
  <si>
    <t>командировки, переговоры</t>
  </si>
  <si>
    <t>7.3.</t>
  </si>
  <si>
    <t>материал на хоз.нужды</t>
  </si>
  <si>
    <t>7.4.</t>
  </si>
  <si>
    <t>электроэнергия на хоз.нужды</t>
  </si>
  <si>
    <t>7.5.</t>
  </si>
  <si>
    <t>вода на хоз.нужды</t>
  </si>
  <si>
    <t>7.6.</t>
  </si>
  <si>
    <t>канализация, очистка</t>
  </si>
  <si>
    <t>7.7.</t>
  </si>
  <si>
    <t>материалы на текущей ремонт</t>
  </si>
  <si>
    <t>7.8.</t>
  </si>
  <si>
    <t>кап.ремонт зданий и сооружений</t>
  </si>
  <si>
    <t>Итого затрат (себестоимость цеховая), тыс. руб.</t>
  </si>
  <si>
    <t>Отпуск тепловой энергии, Гкал</t>
  </si>
  <si>
    <t>Полезный отпуск Гкал</t>
  </si>
  <si>
    <t>Себестоимость цеховая 1 Гкал, руб.</t>
  </si>
  <si>
    <t>Отпуск тепловой энергии на сторону Гкал</t>
  </si>
  <si>
    <t>Себестоимость цеховая на сторону, тыс. руб.</t>
  </si>
  <si>
    <t>8.</t>
  </si>
  <si>
    <t>Общехозяйственные затраты, тыс. руб.</t>
  </si>
  <si>
    <t>Прибыль на отпуск тепловой энергии сторонним организациям</t>
  </si>
  <si>
    <t>9.</t>
  </si>
  <si>
    <t>Прибыль - всего, тыс. руб.</t>
  </si>
  <si>
    <t>9. 1.</t>
  </si>
  <si>
    <t>Прибыль на развитие производства</t>
  </si>
  <si>
    <t>9. 2.</t>
  </si>
  <si>
    <t xml:space="preserve">Прибыль на поощрение </t>
  </si>
  <si>
    <t xml:space="preserve">9. 3. </t>
  </si>
  <si>
    <t>Налог на прибыль</t>
  </si>
  <si>
    <t>9. 4.</t>
  </si>
  <si>
    <t>Налог на имущество</t>
  </si>
  <si>
    <t>9.5</t>
  </si>
  <si>
    <t>Плата за выбросы загрязняющих веществ</t>
  </si>
  <si>
    <t>Себестоимость на сторону, тыс. руб.</t>
  </si>
  <si>
    <t>Себестоимость  1 Гкал, руб.</t>
  </si>
  <si>
    <t>10.</t>
  </si>
  <si>
    <t>Недополученная выручка</t>
  </si>
  <si>
    <t>11.</t>
  </si>
  <si>
    <t>Избыток средств тыс.руб.</t>
  </si>
  <si>
    <t>12.</t>
  </si>
  <si>
    <t>Производственная  себестоимость, тыс.руб.</t>
  </si>
  <si>
    <t>производственная  себестоимость на 1 Гкал, руб.</t>
  </si>
  <si>
    <t>13.</t>
  </si>
  <si>
    <t>Оптовая цена, тыс.руб.</t>
  </si>
  <si>
    <t>14.</t>
  </si>
  <si>
    <t>Цена 1 Гкал   руб.</t>
  </si>
  <si>
    <t>Финансовый  результат от продаж  на сторону, тыс. руб.</t>
  </si>
  <si>
    <t>уб. 26797,88</t>
  </si>
  <si>
    <t>% роста тарифа</t>
  </si>
  <si>
    <t xml:space="preserve">                                     ОАО «Завод  имени  В.А. Дегтярева»                         </t>
  </si>
  <si>
    <t xml:space="preserve">              Факт по тепловой   энергии   за 2011 год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</si>
</sst>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"/>
    <numFmt numFmtId="166" formatCode="0.000"/>
    <numFmt numFmtId="167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2" fontId="5" fillId="33" borderId="13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vertical="top" wrapText="1"/>
    </xf>
    <xf numFmtId="164" fontId="5" fillId="33" borderId="14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vertical="top" wrapText="1"/>
    </xf>
    <xf numFmtId="165" fontId="5" fillId="33" borderId="13" xfId="0" applyNumberFormat="1" applyFont="1" applyFill="1" applyBorder="1" applyAlignment="1">
      <alignment horizontal="center"/>
    </xf>
    <xf numFmtId="165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7" fillId="33" borderId="14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165" fontId="7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7" fontId="7" fillId="33" borderId="13" xfId="0" applyNumberFormat="1" applyFont="1" applyFill="1" applyBorder="1" applyAlignment="1">
      <alignment horizontal="center"/>
    </xf>
    <xf numFmtId="167" fontId="7" fillId="33" borderId="14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 wrapText="1"/>
    </xf>
    <xf numFmtId="2" fontId="7" fillId="33" borderId="16" xfId="0" applyNumberFormat="1" applyFont="1" applyFill="1" applyBorder="1" applyAlignment="1">
      <alignment horizontal="center" wrapText="1"/>
    </xf>
    <xf numFmtId="166" fontId="7" fillId="33" borderId="14" xfId="0" applyNumberFormat="1" applyFont="1" applyFill="1" applyBorder="1" applyAlignment="1">
      <alignment horizontal="center"/>
    </xf>
    <xf numFmtId="166" fontId="7" fillId="33" borderId="16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6" fontId="5" fillId="33" borderId="13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5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2" fontId="5" fillId="33" borderId="18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165" fontId="5" fillId="33" borderId="23" xfId="0" applyNumberFormat="1" applyFont="1" applyFill="1" applyBorder="1" applyAlignment="1">
      <alignment horizontal="center"/>
    </xf>
    <xf numFmtId="166" fontId="5" fillId="33" borderId="24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165" fontId="5" fillId="33" borderId="29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2" fontId="7" fillId="33" borderId="31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165" fontId="7" fillId="33" borderId="22" xfId="0" applyNumberFormat="1" applyFont="1" applyFill="1" applyBorder="1" applyAlignment="1">
      <alignment horizontal="center"/>
    </xf>
    <xf numFmtId="165" fontId="7" fillId="33" borderId="23" xfId="0" applyNumberFormat="1" applyFont="1" applyFill="1" applyBorder="1" applyAlignment="1">
      <alignment horizontal="center"/>
    </xf>
    <xf numFmtId="166" fontId="7" fillId="33" borderId="22" xfId="0" applyNumberFormat="1" applyFont="1" applyFill="1" applyBorder="1" applyAlignment="1">
      <alignment horizontal="center"/>
    </xf>
    <xf numFmtId="166" fontId="7" fillId="33" borderId="23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center" wrapText="1"/>
    </xf>
    <xf numFmtId="2" fontId="7" fillId="33" borderId="23" xfId="0" applyNumberFormat="1" applyFont="1" applyFill="1" applyBorder="1" applyAlignment="1">
      <alignment horizontal="center" wrapText="1"/>
    </xf>
    <xf numFmtId="166" fontId="5" fillId="33" borderId="23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1" fontId="5" fillId="33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 wrapText="1"/>
    </xf>
    <xf numFmtId="2" fontId="5" fillId="33" borderId="23" xfId="0" applyNumberFormat="1" applyFont="1" applyFill="1" applyBorder="1" applyAlignment="1">
      <alignment horizontal="center" wrapText="1"/>
    </xf>
    <xf numFmtId="16" fontId="2" fillId="0" borderId="34" xfId="0" applyNumberFormat="1" applyFont="1" applyBorder="1" applyAlignment="1">
      <alignment horizontal="center" vertical="top" wrapText="1"/>
    </xf>
    <xf numFmtId="16" fontId="2" fillId="0" borderId="32" xfId="0" applyNumberFormat="1" applyFont="1" applyBorder="1" applyAlignment="1">
      <alignment horizontal="center" vertical="top" wrapText="1"/>
    </xf>
    <xf numFmtId="167" fontId="7" fillId="33" borderId="23" xfId="0" applyNumberFormat="1" applyFont="1" applyFill="1" applyBorder="1" applyAlignment="1">
      <alignment horizontal="center"/>
    </xf>
    <xf numFmtId="165" fontId="7" fillId="33" borderId="23" xfId="0" applyNumberFormat="1" applyFont="1" applyFill="1" applyBorder="1" applyAlignment="1">
      <alignment horizontal="center" wrapText="1"/>
    </xf>
    <xf numFmtId="14" fontId="2" fillId="0" borderId="34" xfId="0" applyNumberFormat="1" applyFont="1" applyBorder="1" applyAlignment="1">
      <alignment horizontal="center" vertical="top" wrapText="1"/>
    </xf>
    <xf numFmtId="2" fontId="7" fillId="33" borderId="29" xfId="0" applyNumberFormat="1" applyFont="1" applyFill="1" applyBorder="1" applyAlignment="1">
      <alignment horizontal="center"/>
    </xf>
    <xf numFmtId="2" fontId="7" fillId="33" borderId="25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0"/>
  <sheetViews>
    <sheetView tabSelected="1" view="pageBreakPreview" zoomScale="75" zoomScaleSheetLayoutView="75" zoomScalePageLayoutView="0" workbookViewId="0" topLeftCell="A104">
      <selection activeCell="F131" sqref="F131"/>
    </sheetView>
  </sheetViews>
  <sheetFormatPr defaultColWidth="9.00390625" defaultRowHeight="12.75"/>
  <cols>
    <col min="3" max="3" width="34.625" style="0" customWidth="1"/>
    <col min="4" max="4" width="10.875" style="0" customWidth="1"/>
    <col min="5" max="5" width="11.375" style="0" customWidth="1"/>
    <col min="6" max="6" width="12.75390625" style="0" customWidth="1"/>
  </cols>
  <sheetData>
    <row r="1" ht="15.75">
      <c r="C1" s="87"/>
    </row>
    <row r="2" ht="15.75">
      <c r="C2" s="86"/>
    </row>
    <row r="3" spans="2:7" ht="18" customHeight="1">
      <c r="B3" s="115" t="s">
        <v>145</v>
      </c>
      <c r="C3" s="115"/>
      <c r="D3" s="115"/>
      <c r="E3" s="115"/>
      <c r="F3" s="115"/>
      <c r="G3" s="115"/>
    </row>
    <row r="4" spans="2:7" ht="21" customHeight="1">
      <c r="B4" s="116" t="s">
        <v>144</v>
      </c>
      <c r="C4" s="116"/>
      <c r="D4" s="116"/>
      <c r="E4" s="116"/>
      <c r="F4" s="116"/>
      <c r="G4" s="116"/>
    </row>
    <row r="7" spans="2:6" ht="15.75" customHeight="1">
      <c r="B7" s="117"/>
      <c r="C7" s="119" t="s">
        <v>0</v>
      </c>
      <c r="D7" s="121" t="s">
        <v>1</v>
      </c>
      <c r="E7" s="122"/>
      <c r="F7" s="123"/>
    </row>
    <row r="8" spans="2:6" ht="15.75">
      <c r="B8" s="118"/>
      <c r="C8" s="120"/>
      <c r="D8" s="111" t="s">
        <v>2</v>
      </c>
      <c r="E8" s="113" t="s">
        <v>3</v>
      </c>
      <c r="F8" s="114"/>
    </row>
    <row r="9" spans="2:6" ht="15.75">
      <c r="B9" s="118"/>
      <c r="C9" s="113"/>
      <c r="D9" s="112"/>
      <c r="E9" s="1" t="s">
        <v>4</v>
      </c>
      <c r="F9" s="90" t="s">
        <v>5</v>
      </c>
    </row>
    <row r="10" spans="2:6" ht="15.75">
      <c r="B10" s="91">
        <v>1</v>
      </c>
      <c r="C10" s="2">
        <v>2</v>
      </c>
      <c r="D10" s="3">
        <v>3</v>
      </c>
      <c r="E10" s="4">
        <v>4</v>
      </c>
      <c r="F10" s="92">
        <v>5</v>
      </c>
    </row>
    <row r="11" spans="2:6" ht="28.5">
      <c r="B11" s="93"/>
      <c r="C11" s="5" t="s">
        <v>6</v>
      </c>
      <c r="D11" s="6">
        <v>322901.4</v>
      </c>
      <c r="E11" s="7">
        <v>163442.5</v>
      </c>
      <c r="F11" s="54">
        <v>159458.8</v>
      </c>
    </row>
    <row r="12" spans="2:6" ht="28.5">
      <c r="B12" s="93"/>
      <c r="C12" s="5" t="s">
        <v>7</v>
      </c>
      <c r="D12" s="6">
        <v>15007.2</v>
      </c>
      <c r="E12" s="7">
        <v>6844.2</v>
      </c>
      <c r="F12" s="54">
        <v>8163</v>
      </c>
    </row>
    <row r="13" spans="2:6" ht="15.75">
      <c r="B13" s="93"/>
      <c r="C13" s="8" t="s">
        <v>8</v>
      </c>
      <c r="D13" s="6"/>
      <c r="E13" s="9"/>
      <c r="F13" s="54"/>
    </row>
    <row r="14" spans="2:6" ht="28.5">
      <c r="B14" s="93"/>
      <c r="C14" s="5" t="s">
        <v>9</v>
      </c>
      <c r="D14" s="6">
        <f>D16+D15</f>
        <v>36573.1</v>
      </c>
      <c r="E14" s="7">
        <v>24532.4</v>
      </c>
      <c r="F14" s="54">
        <v>12040.7</v>
      </c>
    </row>
    <row r="15" spans="2:6" ht="45">
      <c r="B15" s="93"/>
      <c r="C15" s="10" t="s">
        <v>10</v>
      </c>
      <c r="D15" s="6">
        <v>28029.2</v>
      </c>
      <c r="E15" s="7">
        <f>D15*0.6707772</f>
        <v>18801.34829424</v>
      </c>
      <c r="F15" s="54">
        <f>D15-E15</f>
        <v>9227.85170576</v>
      </c>
    </row>
    <row r="16" spans="2:6" ht="45">
      <c r="B16" s="93"/>
      <c r="C16" s="10" t="s">
        <v>11</v>
      </c>
      <c r="D16" s="6">
        <v>8543.9</v>
      </c>
      <c r="E16" s="7">
        <f>D16*0.6707772</f>
        <v>5731.05331908</v>
      </c>
      <c r="F16" s="54">
        <f>D16-E16</f>
        <v>2812.84668092</v>
      </c>
    </row>
    <row r="17" spans="2:6" ht="28.5">
      <c r="B17" s="93"/>
      <c r="C17" s="5" t="s">
        <v>12</v>
      </c>
      <c r="D17" s="11">
        <f>(D12+D14)/D11%</f>
        <v>15.974009403489735</v>
      </c>
      <c r="E17" s="12">
        <f>(E12+E14)/E11%</f>
        <v>19.19733239518485</v>
      </c>
      <c r="F17" s="57">
        <f>(F12+F14)/F11%</f>
        <v>12.670169347818998</v>
      </c>
    </row>
    <row r="18" spans="2:6" ht="15.75">
      <c r="B18" s="94"/>
      <c r="C18" s="5" t="s">
        <v>13</v>
      </c>
      <c r="D18" s="6">
        <f>D11-D12-D14</f>
        <v>271321.10000000003</v>
      </c>
      <c r="E18" s="12">
        <v>132065.9</v>
      </c>
      <c r="F18" s="57">
        <v>139255.1</v>
      </c>
    </row>
    <row r="19" spans="2:6" ht="15.75">
      <c r="B19" s="93"/>
      <c r="C19" s="5" t="s">
        <v>14</v>
      </c>
      <c r="D19" s="6">
        <v>62747.9</v>
      </c>
      <c r="E19" s="7">
        <v>33804.9</v>
      </c>
      <c r="F19" s="54">
        <v>28943</v>
      </c>
    </row>
    <row r="20" spans="2:6" ht="15.75">
      <c r="B20" s="93"/>
      <c r="C20" s="5" t="s">
        <v>15</v>
      </c>
      <c r="D20" s="11">
        <v>524.9</v>
      </c>
      <c r="E20" s="12">
        <v>524.9</v>
      </c>
      <c r="F20" s="95">
        <v>0</v>
      </c>
    </row>
    <row r="21" spans="2:6" ht="15.75">
      <c r="B21" s="93"/>
      <c r="C21" s="5" t="s">
        <v>16</v>
      </c>
      <c r="D21" s="6">
        <v>0</v>
      </c>
      <c r="E21" s="7">
        <v>0</v>
      </c>
      <c r="F21" s="95">
        <v>0</v>
      </c>
    </row>
    <row r="22" spans="2:6" ht="15.75">
      <c r="B22" s="93"/>
      <c r="C22" s="5" t="s">
        <v>17</v>
      </c>
      <c r="D22" s="6">
        <v>62223</v>
      </c>
      <c r="E22" s="7">
        <v>33280</v>
      </c>
      <c r="F22" s="54">
        <v>28943</v>
      </c>
    </row>
    <row r="23" spans="2:6" ht="28.5">
      <c r="B23" s="93"/>
      <c r="C23" s="5" t="s">
        <v>18</v>
      </c>
      <c r="D23" s="14">
        <v>0</v>
      </c>
      <c r="E23" s="13">
        <v>0</v>
      </c>
      <c r="F23" s="95">
        <v>0</v>
      </c>
    </row>
    <row r="24" spans="2:6" ht="28.5">
      <c r="B24" s="93" t="s">
        <v>19</v>
      </c>
      <c r="C24" s="5" t="s">
        <v>20</v>
      </c>
      <c r="D24" s="6">
        <v>163195.41</v>
      </c>
      <c r="E24" s="7">
        <v>83586.6</v>
      </c>
      <c r="F24" s="54">
        <v>79608.81</v>
      </c>
    </row>
    <row r="25" spans="2:6" ht="15.75">
      <c r="B25" s="93"/>
      <c r="C25" s="15" t="s">
        <v>21</v>
      </c>
      <c r="D25" s="17">
        <v>43759.8</v>
      </c>
      <c r="E25" s="16">
        <v>22500</v>
      </c>
      <c r="F25" s="79">
        <v>21259.8</v>
      </c>
    </row>
    <row r="26" spans="2:6" ht="15.75">
      <c r="B26" s="93"/>
      <c r="C26" s="15" t="s">
        <v>22</v>
      </c>
      <c r="D26" s="17">
        <v>49715</v>
      </c>
      <c r="E26" s="16">
        <v>25562</v>
      </c>
      <c r="F26" s="79">
        <v>24153</v>
      </c>
    </row>
    <row r="27" spans="2:6" ht="15.75">
      <c r="B27" s="93"/>
      <c r="C27" s="15" t="s">
        <v>23</v>
      </c>
      <c r="D27" s="17">
        <v>3459.55</v>
      </c>
      <c r="E27" s="17">
        <v>3459.55</v>
      </c>
      <c r="F27" s="79">
        <v>3459.55</v>
      </c>
    </row>
    <row r="28" spans="2:6" ht="15.75">
      <c r="B28" s="93"/>
      <c r="C28" s="15" t="s">
        <v>24</v>
      </c>
      <c r="D28" s="18">
        <v>1123.5</v>
      </c>
      <c r="E28" s="19">
        <v>546.9</v>
      </c>
      <c r="F28" s="72">
        <v>576.6</v>
      </c>
    </row>
    <row r="29" spans="2:6" ht="15.75">
      <c r="B29" s="93"/>
      <c r="C29" s="15" t="s">
        <v>25</v>
      </c>
      <c r="D29" s="20">
        <v>1548</v>
      </c>
      <c r="E29" s="21">
        <v>754</v>
      </c>
      <c r="F29" s="77">
        <v>795</v>
      </c>
    </row>
    <row r="30" spans="2:6" ht="15.75">
      <c r="B30" s="93"/>
      <c r="C30" s="15" t="s">
        <v>26</v>
      </c>
      <c r="D30" s="23">
        <v>10508.47</v>
      </c>
      <c r="E30" s="22">
        <v>10508.47</v>
      </c>
      <c r="F30" s="81">
        <v>10508.47</v>
      </c>
    </row>
    <row r="31" spans="2:6" ht="15.75">
      <c r="B31" s="93"/>
      <c r="C31" s="15" t="s">
        <v>27</v>
      </c>
      <c r="D31" s="17">
        <v>51263</v>
      </c>
      <c r="E31" s="16">
        <v>26316</v>
      </c>
      <c r="F31" s="79">
        <v>24948</v>
      </c>
    </row>
    <row r="32" spans="2:6" ht="15.75">
      <c r="B32" s="93"/>
      <c r="C32" s="15" t="s">
        <v>28</v>
      </c>
      <c r="D32" s="17">
        <v>158.8</v>
      </c>
      <c r="E32" s="16">
        <v>161</v>
      </c>
      <c r="F32" s="79">
        <v>156.5</v>
      </c>
    </row>
    <row r="33" spans="2:6" ht="15.75">
      <c r="B33" s="93"/>
      <c r="C33" s="15"/>
      <c r="D33" s="17"/>
      <c r="E33" s="16"/>
      <c r="F33" s="79"/>
    </row>
    <row r="34" spans="2:6" ht="28.5">
      <c r="B34" s="93" t="s">
        <v>29</v>
      </c>
      <c r="C34" s="5" t="s">
        <v>30</v>
      </c>
      <c r="D34" s="25">
        <f>D35+D38+D49</f>
        <v>12493.68474</v>
      </c>
      <c r="E34" s="24">
        <f>0.671*D34</f>
        <v>8383.262460540001</v>
      </c>
      <c r="F34" s="96">
        <f>D34-E34</f>
        <v>4110.422279459999</v>
      </c>
    </row>
    <row r="35" spans="2:6" ht="15.75">
      <c r="B35" s="93" t="s">
        <v>31</v>
      </c>
      <c r="C35" s="5" t="s">
        <v>32</v>
      </c>
      <c r="D35" s="26">
        <v>5861.44</v>
      </c>
      <c r="E35" s="27">
        <f>D35*0.671</f>
        <v>3933.02624</v>
      </c>
      <c r="F35" s="97">
        <f>D35-E35</f>
        <v>1928.4137599999995</v>
      </c>
    </row>
    <row r="36" spans="2:6" ht="15.75">
      <c r="B36" s="93"/>
      <c r="C36" s="15" t="s">
        <v>33</v>
      </c>
      <c r="D36" s="17">
        <v>730.85</v>
      </c>
      <c r="E36" s="22">
        <f>D36*0.671</f>
        <v>490.40035000000006</v>
      </c>
      <c r="F36" s="81">
        <f>D36-E36</f>
        <v>240.44964999999996</v>
      </c>
    </row>
    <row r="37" spans="2:6" ht="15.75">
      <c r="B37" s="93"/>
      <c r="C37" s="15" t="s">
        <v>34</v>
      </c>
      <c r="D37" s="17">
        <v>8.02</v>
      </c>
      <c r="E37" s="16">
        <v>8.02</v>
      </c>
      <c r="F37" s="79">
        <v>8.02</v>
      </c>
    </row>
    <row r="38" spans="2:6" ht="28.5">
      <c r="B38" s="98" t="s">
        <v>35</v>
      </c>
      <c r="C38" s="5" t="s">
        <v>36</v>
      </c>
      <c r="D38" s="6">
        <f>D39+D42+D45+D48</f>
        <v>1549.64474</v>
      </c>
      <c r="E38" s="7">
        <f>0.671*D38</f>
        <v>1039.81162054</v>
      </c>
      <c r="F38" s="54">
        <f>D38-E38</f>
        <v>509.83311946000003</v>
      </c>
    </row>
    <row r="39" spans="2:6" ht="15.75">
      <c r="B39" s="98"/>
      <c r="C39" s="15" t="s">
        <v>37</v>
      </c>
      <c r="D39" s="28">
        <f>(D41*D40)/1000</f>
        <v>1049.6593799999998</v>
      </c>
      <c r="E39" s="16">
        <f>0.523*D39</f>
        <v>548.9718557399999</v>
      </c>
      <c r="F39" s="79">
        <f>D39-E39</f>
        <v>500.6875242599999</v>
      </c>
    </row>
    <row r="40" spans="2:6" ht="15.75">
      <c r="B40" s="98"/>
      <c r="C40" s="29" t="s">
        <v>38</v>
      </c>
      <c r="D40" s="17">
        <v>682</v>
      </c>
      <c r="E40" s="16">
        <f>0.523*D40</f>
        <v>356.68600000000004</v>
      </c>
      <c r="F40" s="79">
        <f>D40-E40</f>
        <v>325.31399999999996</v>
      </c>
    </row>
    <row r="41" spans="2:6" ht="15.75">
      <c r="B41" s="99"/>
      <c r="C41" s="30" t="s">
        <v>39</v>
      </c>
      <c r="D41" s="17">
        <v>1539.09</v>
      </c>
      <c r="E41" s="16">
        <v>1539.09</v>
      </c>
      <c r="F41" s="79">
        <v>1539.09</v>
      </c>
    </row>
    <row r="42" spans="2:6" ht="15.75">
      <c r="B42" s="98"/>
      <c r="C42" s="15" t="s">
        <v>40</v>
      </c>
      <c r="D42" s="31">
        <f>D44*D43</f>
        <v>20.8476</v>
      </c>
      <c r="E42" s="32">
        <f>E44*E43</f>
        <v>10.9032948</v>
      </c>
      <c r="F42" s="100">
        <f>F44*F43</f>
        <v>9.9443052</v>
      </c>
    </row>
    <row r="43" spans="2:6" ht="15.75">
      <c r="B43" s="98"/>
      <c r="C43" s="29" t="s">
        <v>41</v>
      </c>
      <c r="D43" s="28">
        <v>3</v>
      </c>
      <c r="E43" s="16">
        <f>0.523*D43</f>
        <v>1.569</v>
      </c>
      <c r="F43" s="79">
        <f>D43-E43</f>
        <v>1.431</v>
      </c>
    </row>
    <row r="44" spans="2:6" ht="15.75">
      <c r="B44" s="93"/>
      <c r="C44" s="15" t="s">
        <v>42</v>
      </c>
      <c r="D44" s="31">
        <v>6.9492</v>
      </c>
      <c r="E44" s="32">
        <v>6.9492</v>
      </c>
      <c r="F44" s="100">
        <v>6.9492</v>
      </c>
    </row>
    <row r="45" spans="2:6" ht="15.75">
      <c r="B45" s="98"/>
      <c r="C45" s="15" t="s">
        <v>43</v>
      </c>
      <c r="D45" s="34">
        <f>(D46*D47)/1000</f>
        <v>469.06776</v>
      </c>
      <c r="E45" s="16">
        <f>0.845*D45</f>
        <v>396.3622572</v>
      </c>
      <c r="F45" s="79">
        <f>D45-E45</f>
        <v>72.70550280000003</v>
      </c>
    </row>
    <row r="46" spans="2:6" ht="15.75">
      <c r="B46" s="98"/>
      <c r="C46" s="15" t="s">
        <v>44</v>
      </c>
      <c r="D46" s="17">
        <v>9</v>
      </c>
      <c r="E46" s="33">
        <f>0.523*D46</f>
        <v>4.707</v>
      </c>
      <c r="F46" s="101">
        <f>D46-E46</f>
        <v>4.293</v>
      </c>
    </row>
    <row r="47" spans="2:6" ht="15.75">
      <c r="B47" s="93"/>
      <c r="C47" s="15" t="s">
        <v>45</v>
      </c>
      <c r="D47" s="17">
        <v>52118.64</v>
      </c>
      <c r="E47" s="16">
        <v>52118.64</v>
      </c>
      <c r="F47" s="79">
        <v>52118.64</v>
      </c>
    </row>
    <row r="48" spans="2:6" ht="15.75">
      <c r="B48" s="98"/>
      <c r="C48" s="15" t="s">
        <v>46</v>
      </c>
      <c r="D48" s="17">
        <v>10.07</v>
      </c>
      <c r="E48" s="16">
        <f>0.671*D48</f>
        <v>6.756970000000001</v>
      </c>
      <c r="F48" s="79">
        <f>D48-E48</f>
        <v>3.3130299999999995</v>
      </c>
    </row>
    <row r="49" spans="2:6" ht="15.75">
      <c r="B49" s="98" t="s">
        <v>47</v>
      </c>
      <c r="C49" s="5" t="s">
        <v>48</v>
      </c>
      <c r="D49" s="25">
        <f>D50+D53</f>
        <v>5082.6</v>
      </c>
      <c r="E49" s="7">
        <f>0.523*D49</f>
        <v>2658.1998000000003</v>
      </c>
      <c r="F49" s="54">
        <f>D49-E49</f>
        <v>2424.4002</v>
      </c>
    </row>
    <row r="50" spans="2:6" ht="15.75">
      <c r="B50" s="98"/>
      <c r="C50" s="15" t="s">
        <v>49</v>
      </c>
      <c r="D50" s="34">
        <v>2702.44</v>
      </c>
      <c r="E50" s="16">
        <f>0.671*D50</f>
        <v>1813.33724</v>
      </c>
      <c r="F50" s="79">
        <f>D50-E50</f>
        <v>889.10276</v>
      </c>
    </row>
    <row r="51" spans="2:6" ht="15.75">
      <c r="B51" s="98"/>
      <c r="C51" s="15" t="s">
        <v>50</v>
      </c>
      <c r="D51" s="36">
        <v>419</v>
      </c>
      <c r="E51" s="16">
        <f>0.671*D51</f>
        <v>281.149</v>
      </c>
      <c r="F51" s="79">
        <f>D51-E51</f>
        <v>137.851</v>
      </c>
    </row>
    <row r="52" spans="2:6" ht="15.75">
      <c r="B52" s="93"/>
      <c r="C52" s="15" t="s">
        <v>51</v>
      </c>
      <c r="D52" s="17">
        <v>6.45</v>
      </c>
      <c r="E52" s="16">
        <v>6.45</v>
      </c>
      <c r="F52" s="79">
        <v>6.45</v>
      </c>
    </row>
    <row r="53" spans="2:6" ht="15.75">
      <c r="B53" s="98"/>
      <c r="C53" s="15" t="s">
        <v>52</v>
      </c>
      <c r="D53" s="34">
        <v>2380.16</v>
      </c>
      <c r="E53" s="16">
        <f>0.671*D53</f>
        <v>1597.08736</v>
      </c>
      <c r="F53" s="79">
        <f>D53-E53</f>
        <v>783.0726399999999</v>
      </c>
    </row>
    <row r="54" spans="2:6" ht="15.75">
      <c r="B54" s="98"/>
      <c r="C54" s="15" t="s">
        <v>53</v>
      </c>
      <c r="D54" s="36">
        <v>589.1</v>
      </c>
      <c r="E54" s="16">
        <f>0.671*D54</f>
        <v>395.28610000000003</v>
      </c>
      <c r="F54" s="79">
        <f>D54-E54</f>
        <v>193.8139</v>
      </c>
    </row>
    <row r="55" spans="2:6" ht="15.75">
      <c r="B55" s="93"/>
      <c r="C55" s="15" t="s">
        <v>54</v>
      </c>
      <c r="D55" s="17">
        <v>4.04</v>
      </c>
      <c r="E55" s="16">
        <v>4.04</v>
      </c>
      <c r="F55" s="79">
        <v>4.04</v>
      </c>
    </row>
    <row r="56" spans="2:6" ht="42.75">
      <c r="B56" s="93" t="s">
        <v>55</v>
      </c>
      <c r="C56" s="5" t="s">
        <v>56</v>
      </c>
      <c r="D56" s="48">
        <v>45633.08</v>
      </c>
      <c r="E56" s="42">
        <v>23098.04</v>
      </c>
      <c r="F56" s="59">
        <v>22535.05</v>
      </c>
    </row>
    <row r="57" spans="2:6" ht="15.75">
      <c r="B57" s="93"/>
      <c r="C57" s="39" t="s">
        <v>57</v>
      </c>
      <c r="D57" s="68">
        <v>15586.6</v>
      </c>
      <c r="E57" s="69">
        <v>7889.5</v>
      </c>
      <c r="F57" s="70">
        <v>7697.2</v>
      </c>
    </row>
    <row r="58" spans="2:6" ht="15.75">
      <c r="B58" s="93"/>
      <c r="C58" s="39" t="s">
        <v>58</v>
      </c>
      <c r="D58" s="71">
        <f>D57/D11*1000</f>
        <v>48.270462748071076</v>
      </c>
      <c r="E58" s="19">
        <f>E57/E11*1000</f>
        <v>48.27079859889564</v>
      </c>
      <c r="F58" s="72">
        <f>F57/F11*1000</f>
        <v>48.27077589947999</v>
      </c>
    </row>
    <row r="59" spans="2:6" ht="15.75">
      <c r="B59" s="93"/>
      <c r="C59" s="39" t="s">
        <v>59</v>
      </c>
      <c r="D59" s="73">
        <f>D56/D57</f>
        <v>2.927712265664096</v>
      </c>
      <c r="E59" s="35">
        <f>E56/E57</f>
        <v>2.9276937702009</v>
      </c>
      <c r="F59" s="74">
        <f>F56/F57</f>
        <v>2.927694486306709</v>
      </c>
    </row>
    <row r="60" spans="2:6" ht="15.75">
      <c r="B60" s="93" t="s">
        <v>60</v>
      </c>
      <c r="C60" s="46" t="s">
        <v>61</v>
      </c>
      <c r="D60" s="75">
        <v>55679.59</v>
      </c>
      <c r="E60" s="37">
        <v>35463.62</v>
      </c>
      <c r="F60" s="56">
        <f>D60-E60</f>
        <v>20215.969999999994</v>
      </c>
    </row>
    <row r="61" spans="2:6" ht="15.75">
      <c r="B61" s="93"/>
      <c r="C61" s="39" t="s">
        <v>62</v>
      </c>
      <c r="D61" s="76">
        <v>325</v>
      </c>
      <c r="E61" s="21">
        <v>207</v>
      </c>
      <c r="F61" s="77">
        <v>118</v>
      </c>
    </row>
    <row r="62" spans="2:6" ht="30">
      <c r="B62" s="93"/>
      <c r="C62" s="39" t="s">
        <v>63</v>
      </c>
      <c r="D62" s="78">
        <f>D60/D61/12*1000</f>
        <v>14276.817948717948</v>
      </c>
      <c r="E62" s="16">
        <f>E60/E61/12*1000</f>
        <v>14276.819645732692</v>
      </c>
      <c r="F62" s="79">
        <f>F60/F61/12*1000</f>
        <v>14276.814971751408</v>
      </c>
    </row>
    <row r="63" spans="2:6" ht="15.75">
      <c r="B63" s="93"/>
      <c r="C63" s="39" t="s">
        <v>64</v>
      </c>
      <c r="D63" s="80">
        <v>35.9</v>
      </c>
      <c r="E63" s="22">
        <v>35.9</v>
      </c>
      <c r="F63" s="81">
        <v>35.9</v>
      </c>
    </row>
    <row r="64" spans="2:6" ht="28.5">
      <c r="B64" s="93" t="s">
        <v>65</v>
      </c>
      <c r="C64" s="46" t="s">
        <v>66</v>
      </c>
      <c r="D64" s="55">
        <f>D60*D63%</f>
        <v>19988.97281</v>
      </c>
      <c r="E64" s="7">
        <f>E60*E63%</f>
        <v>12731.43958</v>
      </c>
      <c r="F64" s="54">
        <f>F60*F63%</f>
        <v>7257.533229999997</v>
      </c>
    </row>
    <row r="65" spans="2:6" ht="28.5">
      <c r="B65" s="93" t="s">
        <v>67</v>
      </c>
      <c r="C65" s="46" t="s">
        <v>68</v>
      </c>
      <c r="D65" s="53">
        <f>D66+D67+D72+D73+D74+D75</f>
        <v>25940.840000000004</v>
      </c>
      <c r="E65" s="38">
        <f>E66+E67+E72+E73+E74+E75</f>
        <v>19163.780120000003</v>
      </c>
      <c r="F65" s="82">
        <f>F66+F67+F72+F73+F74+F75</f>
        <v>6777.059879999998</v>
      </c>
    </row>
    <row r="66" spans="2:6" ht="30">
      <c r="B66" s="93" t="s">
        <v>69</v>
      </c>
      <c r="C66" s="39" t="s">
        <v>70</v>
      </c>
      <c r="D66" s="73">
        <v>1277.342</v>
      </c>
      <c r="E66" s="16">
        <f>0.671*D66</f>
        <v>857.0964820000002</v>
      </c>
      <c r="F66" s="79">
        <f>D66-E66</f>
        <v>420.24551799999995</v>
      </c>
    </row>
    <row r="67" spans="2:6" ht="15.75">
      <c r="B67" s="93" t="s">
        <v>71</v>
      </c>
      <c r="C67" s="39" t="s">
        <v>72</v>
      </c>
      <c r="D67" s="73">
        <f>D68+D69+D70</f>
        <v>20314.589</v>
      </c>
      <c r="E67" s="35">
        <f>E68+E69+E70</f>
        <v>15388.566569000002</v>
      </c>
      <c r="F67" s="79">
        <f>D67-E67</f>
        <v>4926.022430999998</v>
      </c>
    </row>
    <row r="68" spans="2:6" ht="30">
      <c r="B68" s="102" t="s">
        <v>73</v>
      </c>
      <c r="C68" s="39" t="s">
        <v>74</v>
      </c>
      <c r="D68" s="78">
        <v>5652.15</v>
      </c>
      <c r="E68" s="16">
        <v>5550.07</v>
      </c>
      <c r="F68" s="79">
        <f>D68-E68</f>
        <v>102.07999999999993</v>
      </c>
    </row>
    <row r="69" spans="2:6" ht="15.75">
      <c r="B69" s="89" t="s">
        <v>75</v>
      </c>
      <c r="C69" s="65" t="s">
        <v>76</v>
      </c>
      <c r="D69" s="78">
        <f>833.533+1393.786</f>
        <v>2227.319</v>
      </c>
      <c r="E69" s="16">
        <f>0.671*D69</f>
        <v>1494.5310490000002</v>
      </c>
      <c r="F69" s="79">
        <f>D69-E69</f>
        <v>732.7879509999998</v>
      </c>
    </row>
    <row r="70" spans="2:6" ht="15.75">
      <c r="B70" s="93" t="s">
        <v>77</v>
      </c>
      <c r="C70" s="39" t="s">
        <v>78</v>
      </c>
      <c r="D70" s="78">
        <v>12435.12</v>
      </c>
      <c r="E70" s="16">
        <f>0.671*D70</f>
        <v>8343.965520000002</v>
      </c>
      <c r="F70" s="79">
        <f>D70-E70</f>
        <v>4091.1544799999992</v>
      </c>
    </row>
    <row r="71" spans="2:6" ht="45">
      <c r="B71" s="93" t="s">
        <v>79</v>
      </c>
      <c r="C71" s="39" t="s">
        <v>80</v>
      </c>
      <c r="D71" s="78"/>
      <c r="E71" s="16"/>
      <c r="F71" s="79"/>
    </row>
    <row r="72" spans="2:6" ht="15.75">
      <c r="B72" s="93" t="s">
        <v>81</v>
      </c>
      <c r="C72" s="39" t="s">
        <v>82</v>
      </c>
      <c r="D72" s="78">
        <v>570.65</v>
      </c>
      <c r="E72" s="16">
        <f>0.671*D72</f>
        <v>382.90615</v>
      </c>
      <c r="F72" s="79">
        <f>D72-E72</f>
        <v>187.74384999999995</v>
      </c>
    </row>
    <row r="73" spans="2:6" ht="15.75">
      <c r="B73" s="93" t="s">
        <v>83</v>
      </c>
      <c r="C73" s="39" t="s">
        <v>84</v>
      </c>
      <c r="D73" s="78">
        <v>2575</v>
      </c>
      <c r="E73" s="16">
        <f>0.671*D73</f>
        <v>1727.825</v>
      </c>
      <c r="F73" s="79">
        <f>D73-E73</f>
        <v>847.175</v>
      </c>
    </row>
    <row r="74" spans="2:6" ht="30">
      <c r="B74" s="93" t="s">
        <v>85</v>
      </c>
      <c r="C74" s="39" t="s">
        <v>86</v>
      </c>
      <c r="D74" s="73">
        <f>914.293+146+41.996</f>
        <v>1102.2890000000002</v>
      </c>
      <c r="E74" s="16">
        <f>0.671*D74</f>
        <v>739.6359190000002</v>
      </c>
      <c r="F74" s="79">
        <f>D74-E74</f>
        <v>362.65308100000004</v>
      </c>
    </row>
    <row r="75" spans="2:6" ht="30">
      <c r="B75" s="93" t="s">
        <v>87</v>
      </c>
      <c r="C75" s="39" t="s">
        <v>88</v>
      </c>
      <c r="D75" s="73">
        <v>100.97</v>
      </c>
      <c r="E75" s="16">
        <v>67.75</v>
      </c>
      <c r="F75" s="79">
        <v>33.22</v>
      </c>
    </row>
    <row r="76" spans="2:6" ht="15.75">
      <c r="B76" s="93" t="s">
        <v>89</v>
      </c>
      <c r="C76" s="46" t="s">
        <v>90</v>
      </c>
      <c r="D76" s="55">
        <f>D77+D78+D79+D80+D81+D82+D83+D84</f>
        <v>8580.947</v>
      </c>
      <c r="E76" s="7">
        <f>SUM(E77:E84)</f>
        <v>4733.338401</v>
      </c>
      <c r="F76" s="54">
        <f>SUM(F77:F84)</f>
        <v>3847.608599</v>
      </c>
    </row>
    <row r="77" spans="2:6" ht="15.75">
      <c r="B77" s="98" t="s">
        <v>91</v>
      </c>
      <c r="C77" s="39" t="s">
        <v>92</v>
      </c>
      <c r="D77" s="78">
        <v>896.1</v>
      </c>
      <c r="E77" s="16">
        <f>0.671*D77</f>
        <v>601.2831000000001</v>
      </c>
      <c r="F77" s="79">
        <f>D77-E77</f>
        <v>294.8168999999999</v>
      </c>
    </row>
    <row r="78" spans="2:6" ht="15.75">
      <c r="B78" s="98" t="s">
        <v>93</v>
      </c>
      <c r="C78" s="39" t="s">
        <v>94</v>
      </c>
      <c r="D78" s="78">
        <v>96.26</v>
      </c>
      <c r="E78" s="16">
        <f>0.671*D78</f>
        <v>64.59046000000001</v>
      </c>
      <c r="F78" s="79">
        <f>D78-E78</f>
        <v>31.669539999999998</v>
      </c>
    </row>
    <row r="79" spans="2:6" ht="15.75">
      <c r="B79" s="98" t="s">
        <v>95</v>
      </c>
      <c r="C79" s="39" t="s">
        <v>96</v>
      </c>
      <c r="D79" s="78">
        <v>518.07</v>
      </c>
      <c r="E79" s="16">
        <f>D79*0.671</f>
        <v>347.6249700000001</v>
      </c>
      <c r="F79" s="79">
        <f>D79-E79</f>
        <v>170.44502999999997</v>
      </c>
    </row>
    <row r="80" spans="2:6" ht="15.75">
      <c r="B80" s="98" t="s">
        <v>97</v>
      </c>
      <c r="C80" s="39" t="s">
        <v>98</v>
      </c>
      <c r="D80" s="78">
        <v>5640.04</v>
      </c>
      <c r="E80" s="16">
        <v>2854.81</v>
      </c>
      <c r="F80" s="79">
        <v>2785.23</v>
      </c>
    </row>
    <row r="81" spans="2:6" ht="15.75">
      <c r="B81" s="98" t="s">
        <v>99</v>
      </c>
      <c r="C81" s="39" t="s">
        <v>100</v>
      </c>
      <c r="D81" s="83">
        <v>199.23</v>
      </c>
      <c r="E81" s="84">
        <f>0.671*D81</f>
        <v>133.68333</v>
      </c>
      <c r="F81" s="85">
        <f aca="true" t="shared" si="0" ref="F81:F86">D81-E81</f>
        <v>65.54666999999998</v>
      </c>
    </row>
    <row r="82" spans="2:6" ht="15.75">
      <c r="B82" s="98" t="s">
        <v>101</v>
      </c>
      <c r="C82" s="15" t="s">
        <v>102</v>
      </c>
      <c r="D82" s="66">
        <v>293.33</v>
      </c>
      <c r="E82" s="67">
        <f>D82*0.671</f>
        <v>196.82443</v>
      </c>
      <c r="F82" s="103">
        <f t="shared" si="0"/>
        <v>96.50556999999998</v>
      </c>
    </row>
    <row r="83" spans="2:6" ht="15.75">
      <c r="B83" s="98" t="s">
        <v>103</v>
      </c>
      <c r="C83" s="15" t="s">
        <v>104</v>
      </c>
      <c r="D83" s="17">
        <v>297.24</v>
      </c>
      <c r="E83" s="16">
        <f>D83*0.671</f>
        <v>199.44804000000002</v>
      </c>
      <c r="F83" s="79">
        <f t="shared" si="0"/>
        <v>97.79195999999999</v>
      </c>
    </row>
    <row r="84" spans="2:6" ht="15.75">
      <c r="B84" s="98" t="s">
        <v>105</v>
      </c>
      <c r="C84" s="15" t="s">
        <v>106</v>
      </c>
      <c r="D84" s="28">
        <v>640.677</v>
      </c>
      <c r="E84" s="16">
        <f>D84*0.523</f>
        <v>335.074071</v>
      </c>
      <c r="F84" s="104">
        <f t="shared" si="0"/>
        <v>305.602929</v>
      </c>
    </row>
    <row r="85" spans="2:6" ht="28.5">
      <c r="B85" s="93"/>
      <c r="C85" s="5" t="s">
        <v>107</v>
      </c>
      <c r="D85" s="40">
        <f>D24+D34:D34+D56+D60+D64+D65+D76</f>
        <v>331512.52455000003</v>
      </c>
      <c r="E85" s="25">
        <f>E24+E34+E56+E60+E64+E65+E76</f>
        <v>187160.08056154</v>
      </c>
      <c r="F85" s="96">
        <f>D85-E85</f>
        <v>144352.44398846003</v>
      </c>
    </row>
    <row r="86" spans="2:6" ht="15.75">
      <c r="B86" s="93"/>
      <c r="C86" s="5" t="s">
        <v>108</v>
      </c>
      <c r="D86" s="6">
        <v>271321.1</v>
      </c>
      <c r="E86" s="12">
        <v>132065.9</v>
      </c>
      <c r="F86" s="63">
        <f t="shared" si="0"/>
        <v>139255.19999999998</v>
      </c>
    </row>
    <row r="87" spans="2:6" ht="15.75">
      <c r="B87" s="93"/>
      <c r="C87" s="15" t="s">
        <v>109</v>
      </c>
      <c r="D87" s="11"/>
      <c r="E87" s="12"/>
      <c r="F87" s="54"/>
    </row>
    <row r="88" spans="2:6" ht="15.75">
      <c r="B88" s="93"/>
      <c r="C88" s="15" t="s">
        <v>110</v>
      </c>
      <c r="D88" s="17">
        <f>D85/D86*1000</f>
        <v>1221.8457191497455</v>
      </c>
      <c r="E88" s="16">
        <f>E85/E86*1000</f>
        <v>1417.1718858656172</v>
      </c>
      <c r="F88" s="79">
        <f>F85/F86*1000</f>
        <v>1036.6036168736252</v>
      </c>
    </row>
    <row r="89" spans="2:6" ht="30">
      <c r="B89" s="93"/>
      <c r="C89" s="15" t="s">
        <v>111</v>
      </c>
      <c r="D89" s="17">
        <v>62747.9</v>
      </c>
      <c r="E89" s="16">
        <v>33804.9</v>
      </c>
      <c r="F89" s="79">
        <v>28943</v>
      </c>
    </row>
    <row r="90" spans="2:6" ht="28.5">
      <c r="B90" s="93"/>
      <c r="C90" s="5" t="s">
        <v>112</v>
      </c>
      <c r="D90" s="6">
        <f>D88*D89/1000</f>
        <v>76668.25300063632</v>
      </c>
      <c r="E90" s="7">
        <f>E88*E89/1000</f>
        <v>47907.3538844986</v>
      </c>
      <c r="F90" s="54">
        <f>F88*F89/1000</f>
        <v>30002.418483173336</v>
      </c>
    </row>
    <row r="91" spans="2:6" ht="28.5">
      <c r="B91" s="93" t="s">
        <v>113</v>
      </c>
      <c r="C91" s="5" t="s">
        <v>114</v>
      </c>
      <c r="D91" s="48">
        <v>5021</v>
      </c>
      <c r="E91" s="49">
        <f>0.671*D91</f>
        <v>3369.0910000000003</v>
      </c>
      <c r="F91" s="105">
        <f>D91-E91</f>
        <v>1651.9089999999997</v>
      </c>
    </row>
    <row r="92" spans="2:6" ht="42.75">
      <c r="B92" s="93"/>
      <c r="C92" s="46" t="s">
        <v>115</v>
      </c>
      <c r="D92" s="50"/>
      <c r="E92" s="51"/>
      <c r="F92" s="52"/>
    </row>
    <row r="93" spans="2:6" ht="15.75">
      <c r="B93" s="93" t="s">
        <v>116</v>
      </c>
      <c r="C93" s="46" t="s">
        <v>117</v>
      </c>
      <c r="D93" s="53"/>
      <c r="E93" s="7"/>
      <c r="F93" s="54"/>
    </row>
    <row r="94" spans="2:6" ht="28.5">
      <c r="B94" s="98" t="s">
        <v>118</v>
      </c>
      <c r="C94" s="46" t="s">
        <v>119</v>
      </c>
      <c r="D94" s="55"/>
      <c r="E94" s="7"/>
      <c r="F94" s="54"/>
    </row>
    <row r="95" spans="2:6" ht="15.75">
      <c r="B95" s="98" t="s">
        <v>120</v>
      </c>
      <c r="C95" s="46" t="s">
        <v>121</v>
      </c>
      <c r="D95" s="55">
        <v>445.21</v>
      </c>
      <c r="E95" s="37">
        <f>0.671*D95</f>
        <v>298.73591</v>
      </c>
      <c r="F95" s="56">
        <f>D95-E95</f>
        <v>146.47409</v>
      </c>
    </row>
    <row r="96" spans="2:6" ht="15.75">
      <c r="B96" s="106" t="s">
        <v>122</v>
      </c>
      <c r="C96" s="46" t="s">
        <v>123</v>
      </c>
      <c r="D96" s="55">
        <v>111.3</v>
      </c>
      <c r="E96" s="7">
        <f>0.671*D96</f>
        <v>74.6823</v>
      </c>
      <c r="F96" s="54">
        <f>D96-E96</f>
        <v>36.6177</v>
      </c>
    </row>
    <row r="97" spans="2:6" ht="15.75">
      <c r="B97" s="107" t="s">
        <v>124</v>
      </c>
      <c r="C97" s="47" t="s">
        <v>125</v>
      </c>
      <c r="D97" s="53">
        <f>1010929/1000</f>
        <v>1010.929</v>
      </c>
      <c r="E97" s="7">
        <f>0.671*D97</f>
        <v>678.333359</v>
      </c>
      <c r="F97" s="54">
        <f>D97-E97</f>
        <v>332.595641</v>
      </c>
    </row>
    <row r="98" spans="2:6" ht="28.5">
      <c r="B98" s="108" t="s">
        <v>126</v>
      </c>
      <c r="C98" s="46" t="s">
        <v>127</v>
      </c>
      <c r="D98" s="53">
        <f>46.46467+21.03574+44.45231</f>
        <v>111.95272</v>
      </c>
      <c r="E98" s="7">
        <f>0.523*D98</f>
        <v>58.55127256</v>
      </c>
      <c r="F98" s="54">
        <f>D98-E98</f>
        <v>53.40144744</v>
      </c>
    </row>
    <row r="99" spans="2:6" ht="28.5">
      <c r="B99" s="93"/>
      <c r="C99" s="46" t="s">
        <v>128</v>
      </c>
      <c r="D99" s="55">
        <f>D90+D91</f>
        <v>81689.25300063632</v>
      </c>
      <c r="E99" s="7">
        <f>0.523*D99</f>
        <v>42723.4793193328</v>
      </c>
      <c r="F99" s="54">
        <f>D99-E99</f>
        <v>38965.77368130352</v>
      </c>
    </row>
    <row r="100" spans="2:6" ht="15.75">
      <c r="B100" s="93"/>
      <c r="C100" s="46" t="s">
        <v>129</v>
      </c>
      <c r="D100" s="55">
        <f>D99/D89*1000</f>
        <v>1301.8643333185066</v>
      </c>
      <c r="E100" s="6">
        <f>E99/E89*1000</f>
        <v>1263.8250466450957</v>
      </c>
      <c r="F100" s="54">
        <f>F99/F89*1000</f>
        <v>1346.2935314688707</v>
      </c>
    </row>
    <row r="101" spans="2:6" ht="15.75">
      <c r="B101" s="93" t="s">
        <v>130</v>
      </c>
      <c r="C101" s="46" t="s">
        <v>131</v>
      </c>
      <c r="D101" s="55"/>
      <c r="E101" s="7"/>
      <c r="F101" s="54"/>
    </row>
    <row r="102" spans="2:6" ht="15.75">
      <c r="B102" s="93" t="s">
        <v>132</v>
      </c>
      <c r="C102" s="46" t="s">
        <v>133</v>
      </c>
      <c r="D102" s="55"/>
      <c r="E102" s="7"/>
      <c r="F102" s="54"/>
    </row>
    <row r="103" spans="2:6" ht="28.5">
      <c r="B103" s="93" t="s">
        <v>134</v>
      </c>
      <c r="C103" s="46" t="s">
        <v>135</v>
      </c>
      <c r="D103" s="55">
        <f>D85+D91</f>
        <v>336533.52455000003</v>
      </c>
      <c r="E103" s="7">
        <f>E85+E91+E101+E102</f>
        <v>190529.17156154</v>
      </c>
      <c r="F103" s="54">
        <f>D103-E103</f>
        <v>146004.35298846004</v>
      </c>
    </row>
    <row r="104" spans="2:6" ht="30">
      <c r="B104" s="93"/>
      <c r="C104" s="39" t="s">
        <v>136</v>
      </c>
      <c r="D104" s="55">
        <f>D103/D106*1000</f>
        <v>1240.351467504739</v>
      </c>
      <c r="E104" s="42">
        <f>E103/E106*1000</f>
        <v>1442.6825665182305</v>
      </c>
      <c r="F104" s="59">
        <f>F103/F106*1000</f>
        <v>1048.4668280620247</v>
      </c>
    </row>
    <row r="105" spans="2:6" ht="15.75">
      <c r="B105" s="93" t="s">
        <v>137</v>
      </c>
      <c r="C105" s="46" t="s">
        <v>138</v>
      </c>
      <c r="D105" s="55">
        <f>D103+D93+D95+D96+D98+D97</f>
        <v>338212.91627000005</v>
      </c>
      <c r="E105" s="64">
        <f>E103+E93+E95+E96+E98+E97</f>
        <v>191639.47440309997</v>
      </c>
      <c r="F105" s="64">
        <f>F103+F93+F95+F96+F98+F97</f>
        <v>146573.44186690004</v>
      </c>
    </row>
    <row r="106" spans="2:6" ht="15.75">
      <c r="B106" s="93"/>
      <c r="C106" s="46" t="s">
        <v>109</v>
      </c>
      <c r="D106" s="55">
        <v>271321.1</v>
      </c>
      <c r="E106" s="41">
        <v>132065.9</v>
      </c>
      <c r="F106" s="63">
        <v>139255.1</v>
      </c>
    </row>
    <row r="107" spans="2:6" ht="15.75">
      <c r="B107" s="93" t="s">
        <v>139</v>
      </c>
      <c r="C107" s="46" t="s">
        <v>140</v>
      </c>
      <c r="D107" s="55">
        <f>D105/D106*1000</f>
        <v>1246.5411509462408</v>
      </c>
      <c r="E107" s="7">
        <f>E105/E106*1000</f>
        <v>1451.0897544566762</v>
      </c>
      <c r="F107" s="54">
        <f>F105/F106*1000</f>
        <v>1052.5534925966808</v>
      </c>
    </row>
    <row r="108" spans="2:6" ht="28.5">
      <c r="B108" s="93"/>
      <c r="C108" s="46" t="s">
        <v>141</v>
      </c>
      <c r="D108" s="58" t="s">
        <v>142</v>
      </c>
      <c r="E108" s="42"/>
      <c r="F108" s="59"/>
    </row>
    <row r="109" spans="2:6" ht="15.75">
      <c r="B109" s="109"/>
      <c r="C109" s="110" t="s">
        <v>143</v>
      </c>
      <c r="D109" s="60"/>
      <c r="E109" s="61"/>
      <c r="F109" s="62"/>
    </row>
    <row r="110" spans="2:12" ht="20.25">
      <c r="B110" s="43"/>
      <c r="C110" s="44"/>
      <c r="D110" s="45"/>
      <c r="E110" s="45"/>
      <c r="F110" s="45"/>
      <c r="L110" s="88"/>
    </row>
  </sheetData>
  <sheetProtection/>
  <mergeCells count="7">
    <mergeCell ref="D8:D9"/>
    <mergeCell ref="E8:F8"/>
    <mergeCell ref="B3:G3"/>
    <mergeCell ref="B4:G4"/>
    <mergeCell ref="B7:B9"/>
    <mergeCell ref="C7:C9"/>
    <mergeCell ref="D7:F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2012-05-05T09:36:55Z</cp:lastPrinted>
  <dcterms:created xsi:type="dcterms:W3CDTF">2012-05-03T12:31:36Z</dcterms:created>
  <dcterms:modified xsi:type="dcterms:W3CDTF">2012-05-05T10:41:37Z</dcterms:modified>
  <cp:category/>
  <cp:version/>
  <cp:contentType/>
  <cp:contentStatus/>
</cp:coreProperties>
</file>